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cek\Documents\Shop_22\Arch Shop\"/>
    </mc:Choice>
  </mc:AlternateContent>
  <xr:revisionPtr revIDLastSave="0" documentId="13_ncr:1_{47CDC2B4-31AB-4DC8-9E11-85AF4D4C7EB1}" xr6:coauthVersionLast="47" xr6:coauthVersionMax="47" xr10:uidLastSave="{00000000-0000-0000-0000-000000000000}"/>
  <workbookProtection workbookAlgorithmName="SHA-512" workbookHashValue="kYsVcgwjWYjgVd5kix+9lBx2ScXZWauKxlLJJs8LC6N8EfJD5As2mhYvERH/8LOztN2KOXub0rel1MI0jxI+KQ==" workbookSaltValue="FmTioJ5MoyjiESzGwu3UpQ==" workbookSpinCount="100000" lockStructure="1"/>
  <bookViews>
    <workbookView xWindow="-98" yWindow="-98" windowWidth="20715" windowHeight="13155" xr2:uid="{00000000-000D-0000-FFFF-FFFF00000000}"/>
  </bookViews>
  <sheets>
    <sheet name="Calculator" sheetId="8" r:id="rId1"/>
    <sheet name="SET" sheetId="2" state="hidden" r:id="rId2"/>
  </sheets>
  <definedNames>
    <definedName name="Deductions_ENG">Calculator!$D$15:$D$16</definedName>
    <definedName name="extraNic">SET!$K$3</definedName>
    <definedName name="Full_Table">SET!$B$2:$J$16</definedName>
    <definedName name="hours">Calculator!$G$4</definedName>
    <definedName name="hours_list">SET!$B$21:$B$31</definedName>
    <definedName name="hours_rng">SET!$A$17:$B$19</definedName>
    <definedName name="NIC">Calculator!$D$16</definedName>
    <definedName name="offset_ENG" localSheetId="0">OFFSET(Calculator!$C$15,0,SET!$C$19,3,1)</definedName>
    <definedName name="PA_ENG">Calculator!$D$10</definedName>
    <definedName name="period">SET!$C$21:$C$25</definedName>
    <definedName name="Rest_of_the_table">SET!$B$4:$K$17</definedName>
    <definedName name="salary_ENG" localSheetId="0">Calculator!$C$4</definedName>
    <definedName name="selected_year">Calculator!$E$4</definedName>
    <definedName name="table_part">SET!$B$4:$J$17</definedName>
    <definedName name="tax">Calculator!$D$15</definedName>
    <definedName name="taxable">Calculator!$D$11</definedName>
    <definedName name="years">SET!$B$4:$B$17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2" l="1"/>
  <c r="I4" i="2"/>
  <c r="G4" i="2"/>
  <c r="H4" i="2" s="1"/>
  <c r="J5" i="2" l="1"/>
  <c r="I5" i="2"/>
  <c r="G17" i="2"/>
  <c r="H17" i="2" s="1"/>
  <c r="G5" i="2"/>
  <c r="H5" i="2" s="1"/>
  <c r="I6" i="2" l="1"/>
  <c r="I7" i="2"/>
  <c r="J8" i="2" l="1"/>
  <c r="I8" i="2"/>
  <c r="J7" i="2"/>
  <c r="J6" i="2"/>
  <c r="G6" i="2" l="1"/>
  <c r="H6" i="2" s="1"/>
  <c r="G7" i="2"/>
  <c r="H7" i="2" s="1"/>
  <c r="G8" i="2"/>
  <c r="H8" i="2" s="1"/>
  <c r="J11" i="2" l="1"/>
  <c r="I12" i="2"/>
  <c r="I11" i="2"/>
  <c r="G11" i="2"/>
  <c r="H11" i="2" s="1"/>
  <c r="J9" i="2" l="1"/>
  <c r="J10" i="2"/>
  <c r="I9" i="2"/>
  <c r="I10" i="2"/>
  <c r="G10" i="2"/>
  <c r="H10" i="2" s="1"/>
  <c r="G9" i="2"/>
  <c r="H9" i="2" s="1"/>
  <c r="G16" i="2" l="1"/>
  <c r="H16" i="2" s="1"/>
  <c r="G15" i="2"/>
  <c r="H15" i="2" s="1"/>
  <c r="D14" i="2"/>
  <c r="G13" i="2"/>
  <c r="H13" i="2" s="1"/>
  <c r="G12" i="2"/>
  <c r="H12" i="2" s="1"/>
  <c r="G14" i="2" l="1"/>
  <c r="H14" i="2" s="1"/>
  <c r="G4" i="8"/>
  <c r="D9" i="8" l="1"/>
  <c r="C21" i="2" a="1"/>
  <c r="C21" i="2" s="1"/>
  <c r="C25" i="2" l="1"/>
  <c r="C24" i="2"/>
  <c r="C23" i="2"/>
  <c r="C22" i="2"/>
  <c r="E9" i="8" l="1"/>
  <c r="F9" i="8" l="1"/>
  <c r="G9" i="8" l="1"/>
  <c r="H9" i="8" s="1"/>
  <c r="E4" i="8" l="1"/>
  <c r="K3" i="2" l="1"/>
  <c r="D16" i="8" s="1"/>
  <c r="C6" i="8"/>
  <c r="B3" i="2"/>
  <c r="F3" i="2"/>
  <c r="C14" i="8" s="1"/>
  <c r="D3" i="2"/>
  <c r="E3" i="2"/>
  <c r="C3" i="2"/>
  <c r="D10" i="8" s="1"/>
  <c r="D11" i="8" s="1"/>
  <c r="D12" i="8" l="1"/>
  <c r="F12" i="8" s="1"/>
  <c r="D14" i="8"/>
  <c r="F14" i="8" s="1"/>
  <c r="G14" i="8" s="1"/>
  <c r="H14" i="8" s="1"/>
  <c r="F10" i="8"/>
  <c r="D13" i="8"/>
  <c r="E10" i="8"/>
  <c r="E11" i="8" s="1"/>
  <c r="E12" i="8" l="1"/>
  <c r="D15" i="8"/>
  <c r="E14" i="8"/>
  <c r="E13" i="8"/>
  <c r="F13" i="8"/>
  <c r="G13" i="8" s="1"/>
  <c r="H13" i="8" s="1"/>
  <c r="G12" i="8"/>
  <c r="F11" i="8"/>
  <c r="G10" i="8"/>
  <c r="E15" i="8" l="1"/>
  <c r="F15" i="8"/>
  <c r="H12" i="8"/>
  <c r="H15" i="8" s="1"/>
  <c r="G15" i="8"/>
  <c r="G11" i="8"/>
  <c r="H11" i="8" s="1"/>
  <c r="H10" i="8"/>
  <c r="I3" i="2"/>
  <c r="J3" i="2"/>
  <c r="H3" i="2"/>
  <c r="G3" i="2"/>
  <c r="F16" i="8"/>
  <c r="G16" i="8" s="1"/>
  <c r="H16" i="8" s="1"/>
  <c r="E16" i="8" l="1"/>
  <c r="D17" i="8"/>
  <c r="F17" i="8" l="1"/>
  <c r="G17" i="8" s="1"/>
  <c r="H17" i="8" s="1"/>
  <c r="E17" i="8"/>
</calcChain>
</file>

<file path=xl/sharedStrings.xml><?xml version="1.0" encoding="utf-8"?>
<sst xmlns="http://schemas.openxmlformats.org/spreadsheetml/2006/main" count="46" uniqueCount="46">
  <si>
    <t>Yearly</t>
  </si>
  <si>
    <t>Monthly</t>
  </si>
  <si>
    <t>Weekly</t>
  </si>
  <si>
    <t>Gross Income</t>
  </si>
  <si>
    <t>Taxable Income</t>
  </si>
  <si>
    <t xml:space="preserve">Personal Allowance </t>
  </si>
  <si>
    <t>National Insurance Contribution</t>
  </si>
  <si>
    <t>Daily</t>
  </si>
  <si>
    <t>Hourly</t>
  </si>
  <si>
    <t>Tax year</t>
  </si>
  <si>
    <t>Additional rate</t>
  </si>
  <si>
    <t>Personal Allowance</t>
  </si>
  <si>
    <t>Primary Thresholt</t>
  </si>
  <si>
    <t>Upper Accrual Point</t>
  </si>
  <si>
    <t>Basic rate tax limit</t>
  </si>
  <si>
    <t>max basic tax</t>
  </si>
  <si>
    <t>max higher tax</t>
  </si>
  <si>
    <t xml:space="preserve">Higher rate tax limit </t>
  </si>
  <si>
    <t>2010 - 11</t>
  </si>
  <si>
    <t>2011 - 12</t>
  </si>
  <si>
    <t>2012 - 13</t>
  </si>
  <si>
    <t>2013 - 14</t>
  </si>
  <si>
    <t>2014 - 15</t>
  </si>
  <si>
    <t>Income Tax Due</t>
  </si>
  <si>
    <t>Earnings Summary</t>
  </si>
  <si>
    <t>Period</t>
  </si>
  <si>
    <t>2009 - 10</t>
  </si>
  <si>
    <t>Gross Annual Income</t>
  </si>
  <si>
    <t>Hours a Day</t>
  </si>
  <si>
    <t>Select Tax Year</t>
  </si>
  <si>
    <t>Hours</t>
  </si>
  <si>
    <t>2015 - 16</t>
  </si>
  <si>
    <t>2016 - 17</t>
  </si>
  <si>
    <t>Net Income</t>
  </si>
  <si>
    <t>2017 - 18</t>
  </si>
  <si>
    <t>2018 - 19</t>
  </si>
  <si>
    <t>2020 - 21</t>
  </si>
  <si>
    <t>2019 - 20</t>
  </si>
  <si>
    <t>Tax on 20%</t>
  </si>
  <si>
    <t>Tax on 40%</t>
  </si>
  <si>
    <t>2021 - 22</t>
  </si>
  <si>
    <t>2022 - 23</t>
  </si>
  <si>
    <t>additional rate of NIC</t>
  </si>
  <si>
    <t>You should seek legal advice or other professional advice in relation to any particular matters you or your organisation may have.</t>
  </si>
  <si>
    <t xml:space="preserve">The contents do not constitute legal advice, are not intended to be a substitute for legal advice and should not be relied upon as such.
</t>
  </si>
  <si>
    <t>www.eexcel.co.uk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</si>
</sst>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£&quot;#,##0.00;[Red]\-&quot;£&quot;#,##0.00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164" formatCode="_-&quot;£&quot;* #,##0.00_-;[Red]\-&quot;£&quot;* #,##0.00_-;_-&quot;£&quot;* &quot;-&quot;??_-;_-@_-"/>
    <numFmt numFmtId="165" formatCode="#,##0_ ;[Red]\-#,##0\ 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ntique Olive"/>
      <family val="2"/>
    </font>
    <font>
      <u/>
      <sz val="11"/>
      <color theme="10"/>
      <name val="Calibri"/>
      <family val="2"/>
      <scheme val="minor"/>
    </font>
    <font>
      <sz val="12"/>
      <color theme="1"/>
      <name val="Antique Olive"/>
      <family val="2"/>
    </font>
    <font>
      <sz val="20"/>
      <color theme="1"/>
      <name val="Antique Olive"/>
      <family val="2"/>
    </font>
    <font>
      <sz val="11"/>
      <color theme="0" tint="-0.34998626667073579"/>
      <name val="Antique Olive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u/>
      <sz val="11"/>
      <color theme="10"/>
      <name val="Antique Olive"/>
      <family val="2"/>
    </font>
    <font>
      <i/>
      <u/>
      <sz val="11"/>
      <color theme="1"/>
      <name val="Antique Olive"/>
      <family val="2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8" tint="-0.249977111117893"/>
      <name val="Antique Olive"/>
      <family val="2"/>
    </font>
    <font>
      <b/>
      <sz val="12"/>
      <color theme="0"/>
      <name val="Antique Olive"/>
      <family val="2"/>
    </font>
    <font>
      <b/>
      <sz val="12"/>
      <color theme="1"/>
      <name val="Antique Olive"/>
      <family val="2"/>
    </font>
    <font>
      <sz val="10"/>
      <name val="Antique Olive"/>
      <family val="2"/>
    </font>
    <font>
      <b/>
      <sz val="20"/>
      <color theme="0"/>
      <name val="Antique Olive"/>
      <family val="2"/>
    </font>
    <font>
      <sz val="12"/>
      <name val="Antique Olive"/>
    </font>
    <font>
      <i/>
      <u/>
      <sz val="12"/>
      <name val="Antique Olive"/>
    </font>
    <font>
      <sz val="11"/>
      <color theme="0"/>
      <name val="Antique Olive"/>
      <family val="2"/>
    </font>
    <font>
      <sz val="8"/>
      <name val="Calibri"/>
      <family val="2"/>
      <scheme val="minor"/>
    </font>
    <font>
      <i/>
      <sz val="11"/>
      <color rgb="FF4A4A4A"/>
      <name val="Inherit"/>
    </font>
    <font>
      <u/>
      <sz val="12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0" tint="-0.49998474074526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9" fontId="8" fillId="0" borderId="1" xfId="2" applyFont="1" applyFill="1" applyBorder="1" applyAlignment="1" applyProtection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5" fontId="8" fillId="0" borderId="1" xfId="1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5" fontId="8" fillId="2" borderId="1" xfId="1" applyNumberFormat="1" applyFont="1" applyFill="1" applyBorder="1" applyAlignment="1" applyProtection="1">
      <alignment horizontal="center" vertical="center"/>
    </xf>
    <xf numFmtId="9" fontId="8" fillId="2" borderId="1" xfId="2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2" fillId="4" borderId="14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 applyProtection="1">
      <alignment horizontal="center" vertical="center"/>
      <protection locked="0"/>
    </xf>
    <xf numFmtId="42" fontId="4" fillId="0" borderId="1" xfId="1" applyNumberFormat="1" applyFont="1" applyFill="1" applyBorder="1" applyAlignment="1" applyProtection="1">
      <alignment horizontal="center" vertical="center"/>
      <protection locked="0"/>
    </xf>
    <xf numFmtId="0" fontId="2" fillId="6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10" fillId="6" borderId="7" xfId="3" applyFont="1" applyFill="1" applyBorder="1" applyAlignment="1" applyProtection="1">
      <alignment vertical="center"/>
    </xf>
    <xf numFmtId="0" fontId="10" fillId="6" borderId="8" xfId="3" applyFont="1" applyFill="1" applyBorder="1" applyAlignment="1" applyProtection="1">
      <alignment vertical="center"/>
    </xf>
    <xf numFmtId="0" fontId="4" fillId="6" borderId="9" xfId="0" applyFont="1" applyFill="1" applyBorder="1"/>
    <xf numFmtId="0" fontId="2" fillId="6" borderId="0" xfId="0" applyFont="1" applyFill="1" applyAlignment="1">
      <alignment horizontal="center" vertical="center"/>
    </xf>
    <xf numFmtId="0" fontId="2" fillId="6" borderId="0" xfId="0" applyFont="1" applyFill="1"/>
    <xf numFmtId="0" fontId="9" fillId="6" borderId="10" xfId="3" applyFont="1" applyFill="1" applyBorder="1" applyAlignment="1" applyProtection="1">
      <alignment vertical="center"/>
    </xf>
    <xf numFmtId="0" fontId="2" fillId="6" borderId="9" xfId="0" applyFont="1" applyFill="1" applyBorder="1"/>
    <xf numFmtId="0" fontId="6" fillId="6" borderId="11" xfId="0" applyFont="1" applyFill="1" applyBorder="1"/>
    <xf numFmtId="0" fontId="6" fillId="6" borderId="12" xfId="0" applyFont="1" applyFill="1" applyBorder="1"/>
    <xf numFmtId="0" fontId="6" fillId="6" borderId="13" xfId="0" applyFont="1" applyFill="1" applyBorder="1"/>
    <xf numFmtId="0" fontId="13" fillId="6" borderId="0" xfId="0" applyFont="1" applyFill="1" applyAlignment="1">
      <alignment horizontal="center" vertical="center"/>
    </xf>
    <xf numFmtId="0" fontId="18" fillId="6" borderId="9" xfId="0" applyFont="1" applyFill="1" applyBorder="1"/>
    <xf numFmtId="0" fontId="18" fillId="6" borderId="0" xfId="0" applyFont="1" applyFill="1" applyAlignment="1">
      <alignment horizontal="center" vertical="center"/>
    </xf>
    <xf numFmtId="0" fontId="19" fillId="6" borderId="10" xfId="3" applyFont="1" applyFill="1" applyBorder="1" applyAlignment="1" applyProtection="1">
      <alignment vertical="center"/>
    </xf>
    <xf numFmtId="0" fontId="18" fillId="0" borderId="0" xfId="0" applyFont="1"/>
    <xf numFmtId="0" fontId="14" fillId="7" borderId="15" xfId="0" applyFont="1" applyFill="1" applyBorder="1" applyAlignment="1">
      <alignment horizontal="center" vertical="center"/>
    </xf>
    <xf numFmtId="44" fontId="4" fillId="5" borderId="15" xfId="1" applyFont="1" applyFill="1" applyBorder="1"/>
    <xf numFmtId="42" fontId="4" fillId="5" borderId="15" xfId="1" applyNumberFormat="1" applyFont="1" applyFill="1" applyBorder="1"/>
    <xf numFmtId="164" fontId="15" fillId="5" borderId="15" xfId="1" applyNumberFormat="1" applyFont="1" applyFill="1" applyBorder="1"/>
    <xf numFmtId="42" fontId="15" fillId="5" borderId="15" xfId="1" applyNumberFormat="1" applyFont="1" applyFill="1" applyBorder="1"/>
    <xf numFmtId="44" fontId="4" fillId="5" borderId="15" xfId="1" applyFont="1" applyFill="1" applyBorder="1" applyAlignment="1">
      <alignment horizontal="right"/>
    </xf>
    <xf numFmtId="8" fontId="7" fillId="0" borderId="0" xfId="0" applyNumberFormat="1" applyFont="1"/>
    <xf numFmtId="16" fontId="20" fillId="0" borderId="0" xfId="0" applyNumberFormat="1" applyFont="1"/>
    <xf numFmtId="10" fontId="8" fillId="2" borderId="1" xfId="1" applyNumberFormat="1" applyFont="1" applyFill="1" applyBorder="1" applyAlignment="1" applyProtection="1">
      <alignment horizontal="center" vertical="center"/>
    </xf>
    <xf numFmtId="0" fontId="22" fillId="0" borderId="0" xfId="0" applyFont="1" applyAlignment="1">
      <alignment vertical="center"/>
    </xf>
    <xf numFmtId="0" fontId="17" fillId="4" borderId="16" xfId="0" applyFont="1" applyFill="1" applyBorder="1" applyAlignment="1">
      <alignment horizontal="center"/>
    </xf>
    <xf numFmtId="0" fontId="17" fillId="4" borderId="17" xfId="0" applyFont="1" applyFill="1" applyBorder="1" applyAlignment="1">
      <alignment horizontal="center"/>
    </xf>
    <xf numFmtId="0" fontId="17" fillId="4" borderId="18" xfId="0" applyFont="1" applyFill="1" applyBorder="1" applyAlignment="1">
      <alignment horizontal="center"/>
    </xf>
    <xf numFmtId="0" fontId="2" fillId="6" borderId="0" xfId="0" applyFont="1" applyFill="1" applyAlignment="1">
      <alignment horizontal="center" vertical="center"/>
    </xf>
    <xf numFmtId="0" fontId="23" fillId="6" borderId="0" xfId="3" applyFont="1" applyFill="1" applyAlignment="1">
      <alignment horizontal="right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9999"/>
      <color rgb="FF008000"/>
      <color rgb="FFFF9999"/>
      <color rgb="FFFFCCCC"/>
      <color rgb="FFFFCC99"/>
      <color rgb="FFFFFF99"/>
      <color rgb="FFFFFF00"/>
      <color rgb="FFCCFFCC"/>
      <color rgb="FF66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83283680125507"/>
          <c:y val="0.16074493927125505"/>
          <c:w val="0.65992580781264554"/>
          <c:h val="0.80069818210442312"/>
        </c:manualLayout>
      </c:layout>
      <c:pieChart>
        <c:varyColors val="1"/>
        <c:ser>
          <c:idx val="0"/>
          <c:order val="0"/>
          <c:spPr>
            <a:solidFill>
              <a:schemeClr val="bg1">
                <a:lumMod val="75000"/>
              </a:schemeClr>
            </a:solidFill>
          </c:spPr>
          <c:dPt>
            <c:idx val="0"/>
            <c:bubble3D val="0"/>
            <c:spPr>
              <a:solidFill>
                <a:srgbClr val="FF0000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0-B14D-4792-B2A8-ECC6AD53F27B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B14D-4792-B2A8-ECC6AD53F27B}"/>
              </c:ext>
            </c:extLst>
          </c:dPt>
          <c:dPt>
            <c:idx val="2"/>
            <c:bubble3D val="0"/>
            <c:spPr>
              <a:solidFill>
                <a:srgbClr val="008000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B14D-4792-B2A8-ECC6AD53F27B}"/>
              </c:ext>
            </c:extLst>
          </c:dPt>
          <c:dLbls>
            <c:numFmt formatCode="0%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Calculator!$C$15:$C$17</c:f>
              <c:strCache>
                <c:ptCount val="3"/>
                <c:pt idx="0">
                  <c:v> Income Tax Due </c:v>
                </c:pt>
                <c:pt idx="1">
                  <c:v> National Insurance Contribution </c:v>
                </c:pt>
                <c:pt idx="2">
                  <c:v> Net Income </c:v>
                </c:pt>
              </c:strCache>
            </c:strRef>
          </c:cat>
          <c:val>
            <c:numRef>
              <c:f>Calculator!offset_ENG</c:f>
              <c:numCache>
                <c:formatCode>_("£"* #,##0_);_("£"* \(#,##0\);_("£"* "-"_);_(@_)</c:formatCode>
                <c:ptCount val="3"/>
                <c:pt idx="0">
                  <c:v>24.877808219178082</c:v>
                </c:pt>
                <c:pt idx="1">
                  <c:v>17.848657534246577</c:v>
                </c:pt>
                <c:pt idx="2">
                  <c:v>129.87627397260275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4D-4792-B2A8-ECC6AD53F27B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trlProps/ctrlProp1.xml><?xml version="1.0" encoding="utf-8"?>
<formControlPr xmlns="http://schemas.microsoft.com/office/spreadsheetml/2009/9/main" objectType="Drop" dropLines="5" dropStyle="combo" dx="16" fmlaLink="SET!$C$19" fmlaRange="period" sel="4" val="0"/>
</file>

<file path=xl/ctrlProps/ctrlProp2.xml><?xml version="1.0" encoding="utf-8"?>
<formControlPr xmlns="http://schemas.microsoft.com/office/spreadsheetml/2009/9/main" objectType="Drop" dropLines="5" dropStyle="combo" dx="16" fmlaLink="SET!$B$1" fmlaRange="SET!$B$4:$B$17" sel="1" val="0"/>
</file>

<file path=xl/ctrlProps/ctrlProp3.xml><?xml version="1.0" encoding="utf-8"?>
<formControlPr xmlns="http://schemas.microsoft.com/office/spreadsheetml/2009/9/main" objectType="Drop" dropLines="12" dropStyle="combo" dx="16" fmlaLink="SET!$B$19" fmlaRange="SET!$B$21:$B$31" sel="9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eexcel.co.uk/shop/?utm_source=file&amp;utm_medium=update&amp;utm_campaign=Salary+Calculator+2023+Update&amp;utm_id=Salary+Calculator+2023" TargetMode="Externa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17</xdr:row>
      <xdr:rowOff>125412</xdr:rowOff>
    </xdr:from>
    <xdr:to>
      <xdr:col>4</xdr:col>
      <xdr:colOff>342900</xdr:colOff>
      <xdr:row>37</xdr:row>
      <xdr:rowOff>75749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1238250</xdr:colOff>
          <xdr:row>17</xdr:row>
          <xdr:rowOff>185738</xdr:rowOff>
        </xdr:from>
        <xdr:to>
          <xdr:col>3</xdr:col>
          <xdr:colOff>66675</xdr:colOff>
          <xdr:row>19</xdr:row>
          <xdr:rowOff>104775</xdr:rowOff>
        </xdr:to>
        <xdr:sp macro="" textlink="">
          <xdr:nvSpPr>
            <xdr:cNvPr id="2059" name="Drop Down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3</xdr:row>
          <xdr:rowOff>0</xdr:rowOff>
        </xdr:from>
        <xdr:to>
          <xdr:col>5</xdr:col>
          <xdr:colOff>47625</xdr:colOff>
          <xdr:row>4</xdr:row>
          <xdr:rowOff>19050</xdr:rowOff>
        </xdr:to>
        <xdr:sp macro="" textlink="">
          <xdr:nvSpPr>
            <xdr:cNvPr id="2060" name="drop down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3</xdr:row>
          <xdr:rowOff>0</xdr:rowOff>
        </xdr:from>
        <xdr:to>
          <xdr:col>7</xdr:col>
          <xdr:colOff>95250</xdr:colOff>
          <xdr:row>4</xdr:row>
          <xdr:rowOff>19050</xdr:rowOff>
        </xdr:to>
        <xdr:sp macro="" textlink="">
          <xdr:nvSpPr>
            <xdr:cNvPr id="2066" name="Drop Down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4</xdr:col>
      <xdr:colOff>304800</xdr:colOff>
      <xdr:row>19</xdr:row>
      <xdr:rowOff>61912</xdr:rowOff>
    </xdr:from>
    <xdr:to>
      <xdr:col>7</xdr:col>
      <xdr:colOff>1377043</xdr:colOff>
      <xdr:row>35</xdr:row>
      <xdr:rowOff>171450</xdr:rowOff>
    </xdr:to>
    <xdr:sp macro="" textlink="">
      <xdr:nvSpPr>
        <xdr:cNvPr id="6" name="Rounded Rectangl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767263" y="3667125"/>
          <a:ext cx="5515655" cy="2928938"/>
        </a:xfrm>
        <a:prstGeom prst="roundRect">
          <a:avLst/>
        </a:prstGeom>
        <a:gradFill flip="none" rotWithShape="1">
          <a:gsLst>
            <a:gs pos="0">
              <a:schemeClr val="lt2">
                <a:tint val="40000"/>
                <a:satMod val="350000"/>
              </a:schemeClr>
            </a:gs>
            <a:gs pos="40000">
              <a:schemeClr val="lt2">
                <a:tint val="45000"/>
                <a:shade val="99000"/>
                <a:satMod val="350000"/>
              </a:schemeClr>
            </a:gs>
            <a:gs pos="100000">
              <a:schemeClr val="lt2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ln/>
      </xdr:spPr>
      <xdr:style>
        <a:lnRef idx="2">
          <a:schemeClr val="dk1"/>
        </a:lnRef>
        <a:fillRef idx="1002">
          <a:schemeClr val="lt2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GB" sz="14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is a </a:t>
          </a:r>
          <a:r>
            <a:rPr lang="en-GB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free version </a:t>
          </a:r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 the Protected England Salary Calculator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including tax year 2022 - 23 in Excel.   </a:t>
          </a:r>
        </a:p>
        <a:p>
          <a:pPr algn="ctr"/>
          <a:endParaRPr lang="en-GB" sz="14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However, if you are interested to buy an unprotected Worksbook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the tax year </a:t>
          </a:r>
          <a:r>
            <a:rPr lang="en-GB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2023 - 24 </a:t>
          </a:r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including the Scottish version optional,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use the Update button below.</a:t>
          </a:r>
        </a:p>
        <a:p>
          <a:pPr algn="l"/>
          <a:endParaRPr lang="en-GB" sz="14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GB" sz="14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GB" sz="14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5</xdr:col>
      <xdr:colOff>1041490</xdr:colOff>
      <xdr:row>30</xdr:row>
      <xdr:rowOff>51879</xdr:rowOff>
    </xdr:from>
    <xdr:to>
      <xdr:col>6</xdr:col>
      <xdr:colOff>640352</xdr:colOff>
      <xdr:row>33</xdr:row>
      <xdr:rowOff>59641</xdr:rowOff>
    </xdr:to>
    <xdr:pic>
      <xdr:nvPicPr>
        <xdr:cNvPr id="10" name="Picture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90" y="5595429"/>
          <a:ext cx="1080000" cy="53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Hardcover">
      <a:fillStyleLst>
        <a:solidFill>
          <a:schemeClr val="phClr"/>
        </a:solidFill>
        <a:solidFill>
          <a:schemeClr val="phClr">
            <a:tint val="68000"/>
            <a:shade val="94000"/>
            <a:satMod val="300000"/>
            <a:lumMod val="110000"/>
          </a:schemeClr>
        </a:solidFill>
        <a:gradFill rotWithShape="1">
          <a:gsLst>
            <a:gs pos="0">
              <a:schemeClr val="phClr">
                <a:tint val="94000"/>
                <a:satMod val="180000"/>
                <a:lumMod val="98000"/>
              </a:schemeClr>
            </a:gs>
            <a:gs pos="100000">
              <a:schemeClr val="phClr">
                <a:satMod val="130000"/>
              </a:schemeClr>
            </a:gs>
          </a:gsLst>
          <a:lin ang="5160000" scaled="0"/>
        </a:gradFill>
      </a:fillStyleLst>
      <a:lnStyleLst>
        <a:ln w="12700" cap="flat" cmpd="sng" algn="ctr">
          <a:solidFill>
            <a:schemeClr val="phClr">
              <a:shade val="90000"/>
              <a:lumMod val="90000"/>
            </a:schemeClr>
          </a:solidFill>
          <a:prstDash val="solid"/>
        </a:ln>
        <a:ln w="19050" cap="flat" cmpd="sng" algn="ctr">
          <a:solidFill>
            <a:schemeClr val="phClr">
              <a:shade val="75000"/>
              <a:lumMod val="9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12700" dir="5400000" rotWithShape="0">
              <a:srgbClr val="000000">
                <a:alpha val="15000"/>
              </a:srgbClr>
            </a:outerShdw>
          </a:effectLst>
        </a:effectStyle>
        <a:effectStyle>
          <a:effectLst>
            <a:outerShdw blurRad="50800" dist="25400" dir="5400000" rotWithShape="0">
              <a:srgbClr val="000000">
                <a:alpha val="46000"/>
              </a:srgbClr>
            </a:outerShdw>
          </a:effectLst>
        </a:effectStyle>
        <a:effectStyle>
          <a:effectLst>
            <a:outerShdw blurRad="50800" dist="25400" dir="5400000" rotWithShape="0">
              <a:srgbClr val="000000">
                <a:alpha val="48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2400000"/>
            </a:lightRig>
          </a:scene3d>
          <a:sp3d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excel.co.uk/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0"/>
  <sheetViews>
    <sheetView showGridLines="0" tabSelected="1" zoomScaleNormal="100" workbookViewId="0">
      <selection activeCell="C4" sqref="C4"/>
    </sheetView>
  </sheetViews>
  <sheetFormatPr defaultColWidth="9.3984375" defaultRowHeight="13.5"/>
  <cols>
    <col min="1" max="2" width="3.73046875" style="1" customWidth="1"/>
    <col min="3" max="3" width="34.265625" style="2" bestFit="1" customWidth="1"/>
    <col min="4" max="8" width="20.73046875" style="1" customWidth="1"/>
    <col min="9" max="9" width="3.73046875" style="1" customWidth="1"/>
    <col min="10" max="10" width="7.59765625" style="1" bestFit="1" customWidth="1"/>
    <col min="11" max="11" width="12.73046875" style="1" bestFit="1" customWidth="1"/>
    <col min="12" max="12" width="9.3984375" style="1"/>
    <col min="13" max="13" width="11.59765625" style="1" bestFit="1" customWidth="1"/>
    <col min="14" max="16384" width="9.3984375" style="1"/>
  </cols>
  <sheetData>
    <row r="1" spans="1:14" ht="13.9" thickBot="1">
      <c r="A1" s="48">
        <v>44348</v>
      </c>
    </row>
    <row r="2" spans="1:14" s="2" customFormat="1" ht="15" customHeight="1">
      <c r="B2" s="24"/>
      <c r="C2" s="25"/>
      <c r="D2" s="25"/>
      <c r="E2" s="25"/>
      <c r="F2" s="26"/>
      <c r="G2" s="26"/>
      <c r="H2" s="26"/>
      <c r="I2" s="27"/>
      <c r="J2" s="1"/>
      <c r="K2" s="1"/>
      <c r="L2" s="1"/>
      <c r="M2" s="1"/>
      <c r="N2" s="1"/>
    </row>
    <row r="3" spans="1:14" s="40" customFormat="1" ht="15.4">
      <c r="B3" s="37"/>
      <c r="C3" s="38" t="s">
        <v>27</v>
      </c>
      <c r="D3" s="38"/>
      <c r="E3" s="38" t="s">
        <v>29</v>
      </c>
      <c r="F3" s="38"/>
      <c r="G3" s="38" t="s">
        <v>28</v>
      </c>
      <c r="H3" s="38"/>
      <c r="I3" s="39"/>
      <c r="J3" s="1"/>
      <c r="K3" s="1"/>
      <c r="L3" s="1"/>
      <c r="M3" s="1"/>
      <c r="N3" s="1"/>
    </row>
    <row r="4" spans="1:14" s="3" customFormat="1" ht="15.75" customHeight="1">
      <c r="B4" s="28"/>
      <c r="C4" s="23">
        <v>45000</v>
      </c>
      <c r="D4" s="29"/>
      <c r="E4" s="29" t="str">
        <f>INDEX(years,SET!B1,1)</f>
        <v>2022 - 23</v>
      </c>
      <c r="F4" s="36"/>
      <c r="G4" s="29">
        <f>INDEX(hours_list,SET!B19,1)</f>
        <v>8</v>
      </c>
      <c r="H4" s="29"/>
      <c r="I4" s="31"/>
      <c r="J4" s="1"/>
      <c r="K4" s="1"/>
      <c r="L4" s="1"/>
      <c r="M4"/>
      <c r="N4" s="1"/>
    </row>
    <row r="5" spans="1:14" ht="9.9499999999999993" customHeight="1">
      <c r="B5" s="28"/>
      <c r="C5" s="54"/>
      <c r="D5" s="54"/>
      <c r="E5" s="54"/>
      <c r="F5" s="54"/>
      <c r="G5" s="54"/>
      <c r="H5" s="54"/>
      <c r="I5" s="31"/>
    </row>
    <row r="6" spans="1:14" s="4" customFormat="1" ht="25.15">
      <c r="B6" s="28"/>
      <c r="C6" s="51" t="str">
        <f>"England &amp; NI Salary Calculator "&amp;selected_year</f>
        <v>England &amp; NI Salary Calculator 2022 - 23</v>
      </c>
      <c r="D6" s="52"/>
      <c r="E6" s="52"/>
      <c r="F6" s="52"/>
      <c r="G6" s="52"/>
      <c r="H6" s="53"/>
      <c r="I6" s="31"/>
      <c r="J6" s="1"/>
      <c r="K6" s="1"/>
      <c r="L6" s="1"/>
      <c r="M6" s="1"/>
      <c r="N6" s="1"/>
    </row>
    <row r="7" spans="1:14" ht="9.9499999999999993" customHeight="1">
      <c r="B7" s="28"/>
      <c r="C7" s="54"/>
      <c r="D7" s="54"/>
      <c r="E7" s="54"/>
      <c r="F7" s="54"/>
      <c r="G7" s="54"/>
      <c r="H7" s="54"/>
      <c r="I7" s="31"/>
    </row>
    <row r="8" spans="1:14" ht="15">
      <c r="B8" s="28"/>
      <c r="C8" s="41" t="s">
        <v>24</v>
      </c>
      <c r="D8" s="41" t="s">
        <v>0</v>
      </c>
      <c r="E8" s="41" t="s">
        <v>1</v>
      </c>
      <c r="F8" s="41" t="s">
        <v>2</v>
      </c>
      <c r="G8" s="41" t="s">
        <v>7</v>
      </c>
      <c r="H8" s="41" t="s">
        <v>8</v>
      </c>
      <c r="I8" s="31"/>
    </row>
    <row r="9" spans="1:14" ht="15">
      <c r="B9" s="28"/>
      <c r="C9" s="42" t="s">
        <v>3</v>
      </c>
      <c r="D9" s="43">
        <f>salary_ENG</f>
        <v>45000</v>
      </c>
      <c r="E9" s="43">
        <f t="shared" ref="E9" si="0">D9/12</f>
        <v>3750</v>
      </c>
      <c r="F9" s="43">
        <f t="shared" ref="F9" si="1">D9/365*7</f>
        <v>863.01369863013701</v>
      </c>
      <c r="G9" s="43">
        <f t="shared" ref="G9:G17" si="2">F9/5</f>
        <v>172.60273972602741</v>
      </c>
      <c r="H9" s="43">
        <f t="shared" ref="H9:H14" si="3">G9/hours</f>
        <v>21.575342465753426</v>
      </c>
      <c r="I9" s="31"/>
    </row>
    <row r="10" spans="1:14" ht="15">
      <c r="B10" s="28"/>
      <c r="C10" s="42" t="s">
        <v>11</v>
      </c>
      <c r="D10" s="43">
        <f>IF(salary_ENG&gt;125000,0,IF(salary_ENG&gt;100000,(SET!C3)-(salary_ENG-100000)/2,IF(salary_ENG&gt;SET!C3,SET!C3,salary_ENG)))</f>
        <v>12570</v>
      </c>
      <c r="E10" s="43">
        <f>D10/12</f>
        <v>1047.5</v>
      </c>
      <c r="F10" s="43">
        <f>D10/365*7</f>
        <v>241.06849315068496</v>
      </c>
      <c r="G10" s="43">
        <f>F10/5</f>
        <v>48.213698630136989</v>
      </c>
      <c r="H10" s="43">
        <f t="shared" si="3"/>
        <v>6.0267123287671236</v>
      </c>
      <c r="I10" s="31"/>
    </row>
    <row r="11" spans="1:14" ht="15">
      <c r="B11" s="28"/>
      <c r="C11" s="42" t="s">
        <v>4</v>
      </c>
      <c r="D11" s="43">
        <f>D9-D10</f>
        <v>32430</v>
      </c>
      <c r="E11" s="43">
        <f>E9-E10</f>
        <v>2702.5</v>
      </c>
      <c r="F11" s="43">
        <f>F9-F10</f>
        <v>621.94520547945206</v>
      </c>
      <c r="G11" s="43">
        <f>G9-G10</f>
        <v>124.38904109589042</v>
      </c>
      <c r="H11" s="43">
        <f t="shared" si="3"/>
        <v>15.548630136986302</v>
      </c>
      <c r="I11" s="31"/>
    </row>
    <row r="12" spans="1:14" ht="15">
      <c r="B12" s="28"/>
      <c r="C12" s="46" t="s">
        <v>38</v>
      </c>
      <c r="D12" s="43">
        <f>IF(salary_ENG&gt;SET!D3,(SET!D3-SET!C3)*20%,IF(salary_ENG&gt;SET!C3,(salary_ENG-SET!C3)*20%,0))</f>
        <v>6486</v>
      </c>
      <c r="E12" s="43">
        <f>D12/12</f>
        <v>540.5</v>
      </c>
      <c r="F12" s="43">
        <f>D12/365*7</f>
        <v>124.38904109589041</v>
      </c>
      <c r="G12" s="43">
        <f t="shared" ref="G12:G14" si="4">F12/5</f>
        <v>24.877808219178082</v>
      </c>
      <c r="H12" s="43">
        <f t="shared" si="3"/>
        <v>3.1097260273972602</v>
      </c>
      <c r="I12" s="31"/>
    </row>
    <row r="13" spans="1:14" ht="15.4">
      <c r="B13" s="28"/>
      <c r="C13" s="46" t="s">
        <v>39</v>
      </c>
      <c r="D13" s="43">
        <f>IF(salary_ENG&gt;SET!E3,(SET!E3-SET!D3+SET!C3)*40%,IF(salary_ENG&gt;SET!D3,(salary_ENG-SET!D3-PA_ENG+SET!C3)*40%,0))</f>
        <v>0</v>
      </c>
      <c r="E13" s="43">
        <f>D13/12</f>
        <v>0</v>
      </c>
      <c r="F13" s="43">
        <f>D13/365*7</f>
        <v>0</v>
      </c>
      <c r="G13" s="43">
        <f t="shared" si="4"/>
        <v>0</v>
      </c>
      <c r="H13" s="43">
        <f t="shared" si="3"/>
        <v>0</v>
      </c>
      <c r="I13" s="31"/>
      <c r="K13"/>
      <c r="L13"/>
    </row>
    <row r="14" spans="1:14" ht="15">
      <c r="B14" s="28"/>
      <c r="C14" s="46" t="str">
        <f>"Tax on "&amp;SET!F3*100&amp;"%"</f>
        <v>Tax on 45%</v>
      </c>
      <c r="D14" s="43">
        <f>IF(salary_ENG&gt;SET!E3,(salary_ENG-SET!E3)*SET!F3,0)</f>
        <v>0</v>
      </c>
      <c r="E14" s="43">
        <f>D14/12</f>
        <v>0</v>
      </c>
      <c r="F14" s="43">
        <f>D14/365*7</f>
        <v>0</v>
      </c>
      <c r="G14" s="43">
        <f t="shared" si="4"/>
        <v>0</v>
      </c>
      <c r="H14" s="43">
        <f t="shared" si="3"/>
        <v>0</v>
      </c>
      <c r="I14" s="31"/>
    </row>
    <row r="15" spans="1:14" ht="15">
      <c r="B15" s="28"/>
      <c r="C15" s="42" t="s">
        <v>23</v>
      </c>
      <c r="D15" s="43">
        <f>D12+D13+D14</f>
        <v>6486</v>
      </c>
      <c r="E15" s="43">
        <f t="shared" ref="E15:H15" si="5">E12+E13+E14</f>
        <v>540.5</v>
      </c>
      <c r="F15" s="43">
        <f t="shared" si="5"/>
        <v>124.38904109589041</v>
      </c>
      <c r="G15" s="43">
        <f t="shared" si="5"/>
        <v>24.877808219178082</v>
      </c>
      <c r="H15" s="43">
        <f t="shared" si="5"/>
        <v>3.1097260273972602</v>
      </c>
      <c r="I15" s="31"/>
    </row>
    <row r="16" spans="1:14" ht="15">
      <c r="B16" s="28"/>
      <c r="C16" s="42" t="s">
        <v>6</v>
      </c>
      <c r="D16" s="43">
        <f>IF(salary_ENG&lt;=VLOOKUP(selected_year,Rest_of_the_table,8,FALSE),0,IF(salary_ENG&lt;=VLOOKUP(selected_year,Rest_of_the_table,9,FALSE),(salary_ENG-VLOOKUP(selected_year,Rest_of_the_table,8,FALSE))*(12%+extraNic),(VLOOKUP(selected_year,Rest_of_the_table,9,FALSE)-VLOOKUP(selected_year,Rest_of_the_table,8,FALSE))*(12%+extraNic)+(salary_ENG-VLOOKUP(selected_year,Rest_of_the_table,9,FALSE))*(2%+extraNic)))</f>
        <v>4653.4000000000005</v>
      </c>
      <c r="E16" s="43">
        <f>D16/12</f>
        <v>387.78333333333336</v>
      </c>
      <c r="F16" s="43">
        <f>D16/365*7</f>
        <v>89.243287671232878</v>
      </c>
      <c r="G16" s="43">
        <f>F16/5</f>
        <v>17.848657534246577</v>
      </c>
      <c r="H16" s="43">
        <f>G16/hours</f>
        <v>2.2310821917808221</v>
      </c>
      <c r="I16" s="31"/>
    </row>
    <row r="17" spans="2:9" ht="15">
      <c r="B17" s="28"/>
      <c r="C17" s="44" t="s">
        <v>33</v>
      </c>
      <c r="D17" s="45">
        <f>salary_ENG-SUM(Deductions_ENG)</f>
        <v>33860.6</v>
      </c>
      <c r="E17" s="45">
        <f>D17/12</f>
        <v>2821.7166666666667</v>
      </c>
      <c r="F17" s="45">
        <f>D17/365*7</f>
        <v>649.38136986301367</v>
      </c>
      <c r="G17" s="45">
        <f t="shared" si="2"/>
        <v>129.87627397260275</v>
      </c>
      <c r="H17" s="45">
        <f t="shared" ref="H17" si="6">G17/hours</f>
        <v>16.234534246575343</v>
      </c>
      <c r="I17" s="31"/>
    </row>
    <row r="18" spans="2:9" ht="15">
      <c r="B18" s="28"/>
      <c r="C18" s="29"/>
      <c r="D18" s="30"/>
      <c r="E18" s="30"/>
      <c r="F18" s="30"/>
      <c r="G18" s="30"/>
      <c r="H18" s="30"/>
      <c r="I18" s="31"/>
    </row>
    <row r="19" spans="2:9" ht="13.9">
      <c r="B19" s="32"/>
      <c r="C19" s="29"/>
      <c r="D19" s="30"/>
      <c r="E19" s="30"/>
      <c r="F19" s="30"/>
      <c r="G19" s="30"/>
      <c r="H19" s="30"/>
      <c r="I19" s="31"/>
    </row>
    <row r="20" spans="2:9" ht="13.9">
      <c r="B20" s="32"/>
      <c r="C20" s="29"/>
      <c r="D20" s="30"/>
      <c r="E20" s="30"/>
      <c r="F20" s="30"/>
      <c r="G20" s="30"/>
      <c r="H20" s="30"/>
      <c r="I20" s="31"/>
    </row>
    <row r="21" spans="2:9" ht="13.9">
      <c r="B21" s="32"/>
      <c r="C21" s="29"/>
      <c r="D21" s="30"/>
      <c r="E21" s="30"/>
      <c r="F21" s="30"/>
      <c r="G21" s="30"/>
      <c r="H21" s="30"/>
      <c r="I21" s="31"/>
    </row>
    <row r="22" spans="2:9" ht="13.9">
      <c r="B22" s="32"/>
      <c r="C22" s="29"/>
      <c r="D22" s="30"/>
      <c r="E22" s="30"/>
      <c r="F22" s="30"/>
      <c r="G22" s="30"/>
      <c r="H22" s="30"/>
      <c r="I22" s="31"/>
    </row>
    <row r="23" spans="2:9" ht="13.9">
      <c r="B23" s="32"/>
      <c r="C23" s="29"/>
      <c r="D23" s="30"/>
      <c r="E23" s="30"/>
      <c r="F23" s="30"/>
      <c r="G23" s="30"/>
      <c r="H23" s="30"/>
      <c r="I23" s="31"/>
    </row>
    <row r="24" spans="2:9" ht="13.9">
      <c r="B24" s="32"/>
      <c r="C24" s="29"/>
      <c r="D24" s="30"/>
      <c r="E24" s="30"/>
      <c r="F24" s="30"/>
      <c r="G24" s="30"/>
      <c r="H24" s="30"/>
      <c r="I24" s="31"/>
    </row>
    <row r="25" spans="2:9" ht="13.9">
      <c r="B25" s="32"/>
      <c r="C25" s="29"/>
      <c r="D25" s="30"/>
      <c r="E25" s="30"/>
      <c r="F25" s="30"/>
      <c r="G25" s="30"/>
      <c r="H25" s="30"/>
      <c r="I25" s="31"/>
    </row>
    <row r="26" spans="2:9" ht="13.9">
      <c r="B26" s="32"/>
      <c r="C26" s="29"/>
      <c r="D26" s="30"/>
      <c r="E26" s="30"/>
      <c r="F26" s="30"/>
      <c r="G26" s="30"/>
      <c r="H26" s="30"/>
      <c r="I26" s="31"/>
    </row>
    <row r="27" spans="2:9" ht="13.9">
      <c r="B27" s="32"/>
      <c r="C27" s="29"/>
      <c r="D27" s="30"/>
      <c r="E27" s="30"/>
      <c r="F27" s="30"/>
      <c r="G27" s="30"/>
      <c r="H27" s="30"/>
      <c r="I27" s="31"/>
    </row>
    <row r="28" spans="2:9" ht="13.9">
      <c r="B28" s="32"/>
      <c r="C28" s="29"/>
      <c r="D28" s="30"/>
      <c r="E28" s="30"/>
      <c r="F28" s="30"/>
      <c r="G28" s="30"/>
      <c r="H28" s="30"/>
      <c r="I28" s="31"/>
    </row>
    <row r="29" spans="2:9" ht="13.9">
      <c r="B29" s="32"/>
      <c r="C29" s="29"/>
      <c r="D29" s="30"/>
      <c r="E29" s="30"/>
      <c r="F29" s="30"/>
      <c r="G29" s="30"/>
      <c r="H29" s="30"/>
      <c r="I29" s="31"/>
    </row>
    <row r="30" spans="2:9" ht="13.9">
      <c r="B30" s="32"/>
      <c r="C30" s="29"/>
      <c r="D30" s="30"/>
      <c r="E30" s="30"/>
      <c r="F30" s="30"/>
      <c r="G30" s="30"/>
      <c r="H30" s="30"/>
      <c r="I30" s="31"/>
    </row>
    <row r="31" spans="2:9" ht="13.9">
      <c r="B31" s="32"/>
      <c r="C31" s="29"/>
      <c r="D31" s="30"/>
      <c r="E31" s="30"/>
      <c r="F31" s="30"/>
      <c r="G31" s="30"/>
      <c r="H31" s="30"/>
      <c r="I31" s="31"/>
    </row>
    <row r="32" spans="2:9" ht="13.9">
      <c r="B32" s="32"/>
      <c r="C32" s="29"/>
      <c r="D32" s="30"/>
      <c r="E32" s="30"/>
      <c r="F32" s="30"/>
      <c r="G32" s="30"/>
      <c r="H32" s="30"/>
      <c r="I32" s="31"/>
    </row>
    <row r="33" spans="2:11" ht="13.9">
      <c r="B33" s="32"/>
      <c r="C33" s="29"/>
      <c r="D33" s="30"/>
      <c r="E33" s="30"/>
      <c r="F33" s="30"/>
      <c r="G33" s="30"/>
      <c r="H33" s="30"/>
      <c r="I33" s="31"/>
    </row>
    <row r="34" spans="2:11" ht="13.9">
      <c r="B34" s="32"/>
      <c r="C34" s="29"/>
      <c r="D34" s="30"/>
      <c r="E34" s="30"/>
      <c r="F34" s="30"/>
      <c r="G34" s="30"/>
      <c r="H34" s="30"/>
      <c r="I34" s="31"/>
    </row>
    <row r="35" spans="2:11" ht="13.9">
      <c r="B35" s="32"/>
      <c r="C35" s="29"/>
      <c r="D35" s="30"/>
      <c r="E35" s="30"/>
      <c r="F35" s="30"/>
      <c r="G35" s="30"/>
      <c r="H35" s="30"/>
      <c r="I35" s="31"/>
    </row>
    <row r="36" spans="2:11" ht="14.25">
      <c r="B36" s="32"/>
      <c r="C36" s="29"/>
      <c r="D36" s="30"/>
      <c r="E36" s="30"/>
      <c r="F36" s="30"/>
      <c r="G36" s="30"/>
      <c r="H36" s="30"/>
      <c r="I36" s="31"/>
      <c r="K36"/>
    </row>
    <row r="37" spans="2:11" ht="15.75">
      <c r="B37" s="32"/>
      <c r="C37" s="29"/>
      <c r="D37" s="30"/>
      <c r="E37" s="30"/>
      <c r="F37" s="30"/>
      <c r="G37" s="30"/>
      <c r="H37" s="55" t="s">
        <v>45</v>
      </c>
      <c r="I37" s="31"/>
    </row>
    <row r="38" spans="2:11" ht="13.9" thickBot="1">
      <c r="B38" s="33"/>
      <c r="C38" s="34"/>
      <c r="D38" s="34"/>
      <c r="E38" s="34"/>
      <c r="F38" s="34"/>
      <c r="G38" s="34"/>
      <c r="H38" s="34"/>
      <c r="I38" s="35"/>
    </row>
    <row r="39" spans="2:11" ht="13.9">
      <c r="C39" s="50" t="s">
        <v>44</v>
      </c>
    </row>
    <row r="40" spans="2:11" ht="13.9">
      <c r="C40" s="50" t="s">
        <v>43</v>
      </c>
    </row>
  </sheetData>
  <sheetProtection algorithmName="SHA-512" hashValue="hvQMca3mf/BPEsWKdUPYWjmN4LyXNnLXBI6uNdvK8iVI7tVO9yN/P8LqHNKnj+K+sz6h8M8zWl/3D41VZWckQA==" saltValue="5upL0a0E0FiMLI/8AYBBng==" spinCount="100000" sheet="1" objects="1" scenarios="1" selectLockedCells="1"/>
  <mergeCells count="3">
    <mergeCell ref="C6:H6"/>
    <mergeCell ref="C7:H7"/>
    <mergeCell ref="C5:H5"/>
  </mergeCells>
  <dataValidations count="1">
    <dataValidation type="decimal" operator="greaterThanOrEqual" allowBlank="1" showInputMessage="1" showErrorMessage="1" sqref="C4" xr:uid="{00000000-0002-0000-0000-000000000000}">
      <formula1>1</formula1>
    </dataValidation>
  </dataValidations>
  <hyperlinks>
    <hyperlink ref="H37" r:id="rId1" xr:uid="{D774F30B-4F14-4629-9106-28F602B780E0}"/>
  </hyperlinks>
  <pageMargins left="0.7" right="0.7" top="0.75" bottom="0.75" header="0.3" footer="0.3"/>
  <pageSetup paperSize="9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9" r:id="rId5" name="Drop Down 11">
              <controlPr locked="0" defaultSize="0" autoLine="0" autoPict="0">
                <anchor moveWithCells="1">
                  <from>
                    <xdr:col>2</xdr:col>
                    <xdr:colOff>1238250</xdr:colOff>
                    <xdr:row>17</xdr:row>
                    <xdr:rowOff>185738</xdr:rowOff>
                  </from>
                  <to>
                    <xdr:col>3</xdr:col>
                    <xdr:colOff>66675</xdr:colOff>
                    <xdr:row>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6" name="drop down">
              <controlPr locked="0" defaultSize="0" autoLine="0" autoPict="0">
                <anchor moveWithCells="1">
                  <from>
                    <xdr:col>3</xdr:col>
                    <xdr:colOff>1362075</xdr:colOff>
                    <xdr:row>3</xdr:row>
                    <xdr:rowOff>0</xdr:rowOff>
                  </from>
                  <to>
                    <xdr:col>5</xdr:col>
                    <xdr:colOff>47625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7" name="Drop Down 18">
              <controlPr locked="0" defaultSize="0" autoLine="0" autoPict="0">
                <anchor moveWithCells="1">
                  <from>
                    <xdr:col>6</xdr:col>
                    <xdr:colOff>28575</xdr:colOff>
                    <xdr:row>3</xdr:row>
                    <xdr:rowOff>0</xdr:rowOff>
                  </from>
                  <to>
                    <xdr:col>7</xdr:col>
                    <xdr:colOff>95250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1"/>
  </sheetPr>
  <dimension ref="A1:L31"/>
  <sheetViews>
    <sheetView showGridLines="0" zoomScaleNormal="100" workbookViewId="0">
      <selection activeCell="D34" sqref="D34"/>
    </sheetView>
  </sheetViews>
  <sheetFormatPr defaultColWidth="9.1328125" defaultRowHeight="13.15"/>
  <cols>
    <col min="1" max="1" width="3.73046875" style="5" customWidth="1"/>
    <col min="2" max="11" width="10.59765625" style="5" customWidth="1"/>
    <col min="12" max="12" width="10.86328125" style="5" customWidth="1"/>
    <col min="13" max="16" width="10.73046875" style="5" customWidth="1"/>
    <col min="17" max="16384" width="9.1328125" style="5"/>
  </cols>
  <sheetData>
    <row r="1" spans="1:12" ht="13.9">
      <c r="A1" s="48">
        <v>44077</v>
      </c>
      <c r="B1" s="21">
        <v>1</v>
      </c>
    </row>
    <row r="2" spans="1:12" s="6" customFormat="1" ht="26.25">
      <c r="A2" s="5"/>
      <c r="B2" s="16" t="s">
        <v>9</v>
      </c>
      <c r="C2" s="17" t="s">
        <v>5</v>
      </c>
      <c r="D2" s="17" t="s">
        <v>14</v>
      </c>
      <c r="E2" s="17" t="s">
        <v>17</v>
      </c>
      <c r="F2" s="17" t="s">
        <v>10</v>
      </c>
      <c r="G2" s="17" t="s">
        <v>15</v>
      </c>
      <c r="H2" s="17" t="s">
        <v>16</v>
      </c>
      <c r="I2" s="17" t="s">
        <v>12</v>
      </c>
      <c r="J2" s="18" t="s">
        <v>13</v>
      </c>
      <c r="K2" s="18" t="s">
        <v>42</v>
      </c>
    </row>
    <row r="3" spans="1:12">
      <c r="B3" s="13" t="str">
        <f>selected_year</f>
        <v>2022 - 23</v>
      </c>
      <c r="C3" s="14">
        <f t="shared" ref="C3:J3" si="0">VLOOKUP(selected_year,Rest_of_the_table,COLUMN()-1,FALSE)</f>
        <v>12570</v>
      </c>
      <c r="D3" s="14">
        <f t="shared" si="0"/>
        <v>50270</v>
      </c>
      <c r="E3" s="14">
        <f t="shared" si="0"/>
        <v>150000</v>
      </c>
      <c r="F3" s="15">
        <f t="shared" si="0"/>
        <v>0.45</v>
      </c>
      <c r="G3" s="14">
        <f t="shared" si="0"/>
        <v>10054</v>
      </c>
      <c r="H3" s="14">
        <f t="shared" si="0"/>
        <v>49946</v>
      </c>
      <c r="I3" s="14">
        <f t="shared" si="0"/>
        <v>9880</v>
      </c>
      <c r="J3" s="14">
        <f t="shared" si="0"/>
        <v>50270</v>
      </c>
      <c r="K3" s="49">
        <f>VLOOKUP(selected_year,Rest_of_the_table,COLUMN()-1,FALSE)</f>
        <v>1.2500000000000001E-2</v>
      </c>
    </row>
    <row r="4" spans="1:12">
      <c r="B4" s="12" t="s">
        <v>41</v>
      </c>
      <c r="C4" s="10">
        <v>12570</v>
      </c>
      <c r="D4" s="10">
        <v>50270</v>
      </c>
      <c r="E4" s="10">
        <v>150000</v>
      </c>
      <c r="F4" s="7">
        <v>0.45</v>
      </c>
      <c r="G4" s="14">
        <f t="shared" ref="G4" si="1">(D4)*0.2</f>
        <v>10054</v>
      </c>
      <c r="H4" s="14">
        <f>(E4-D4)*0.4+G4+IF(Calculator!salary_ENG&gt;150000,0.45*(Calculator!salary_ENG-150000),0)</f>
        <v>49946</v>
      </c>
      <c r="I4" s="14">
        <f>52*190</f>
        <v>9880</v>
      </c>
      <c r="J4" s="14">
        <f>50270</f>
        <v>50270</v>
      </c>
      <c r="K4" s="49">
        <v>1.2500000000000001E-2</v>
      </c>
    </row>
    <row r="5" spans="1:12">
      <c r="B5" s="12" t="s">
        <v>40</v>
      </c>
      <c r="C5" s="10">
        <v>12570</v>
      </c>
      <c r="D5" s="10">
        <v>50270</v>
      </c>
      <c r="E5" s="10">
        <v>150000</v>
      </c>
      <c r="F5" s="7">
        <v>0.45</v>
      </c>
      <c r="G5" s="14">
        <f t="shared" ref="G5:G17" si="2">(D5)*0.2</f>
        <v>10054</v>
      </c>
      <c r="H5" s="14">
        <f t="shared" ref="H5:H17" si="3">(E5-D5)*0.4+G5</f>
        <v>49946</v>
      </c>
      <c r="I5" s="14">
        <f>52*184</f>
        <v>9568</v>
      </c>
      <c r="J5" s="14">
        <f>967*52</f>
        <v>50284</v>
      </c>
      <c r="K5" s="49">
        <v>0</v>
      </c>
    </row>
    <row r="6" spans="1:12">
      <c r="B6" s="11" t="s">
        <v>36</v>
      </c>
      <c r="C6" s="10">
        <v>12500</v>
      </c>
      <c r="D6" s="10">
        <v>50000</v>
      </c>
      <c r="E6" s="10">
        <v>150000</v>
      </c>
      <c r="F6" s="7">
        <v>0.45</v>
      </c>
      <c r="G6" s="14">
        <f t="shared" si="2"/>
        <v>10000</v>
      </c>
      <c r="H6" s="14">
        <f t="shared" si="3"/>
        <v>50000</v>
      </c>
      <c r="I6" s="14">
        <f>52*183</f>
        <v>9516</v>
      </c>
      <c r="J6" s="14">
        <f>962*52</f>
        <v>50024</v>
      </c>
      <c r="K6" s="49">
        <v>0</v>
      </c>
      <c r="L6" s="47"/>
    </row>
    <row r="7" spans="1:12">
      <c r="B7" s="11" t="s">
        <v>37</v>
      </c>
      <c r="C7" s="10">
        <v>12500</v>
      </c>
      <c r="D7" s="10">
        <v>50000</v>
      </c>
      <c r="E7" s="10">
        <v>150000</v>
      </c>
      <c r="F7" s="7">
        <v>0.45</v>
      </c>
      <c r="G7" s="14">
        <f t="shared" si="2"/>
        <v>10000</v>
      </c>
      <c r="H7" s="14">
        <f t="shared" si="3"/>
        <v>50000</v>
      </c>
      <c r="I7" s="14">
        <f>52*166</f>
        <v>8632</v>
      </c>
      <c r="J7" s="14">
        <f>962*52</f>
        <v>50024</v>
      </c>
      <c r="K7" s="49">
        <v>0</v>
      </c>
      <c r="L7" s="47"/>
    </row>
    <row r="8" spans="1:12">
      <c r="B8" s="11" t="s">
        <v>35</v>
      </c>
      <c r="C8" s="10">
        <v>11850</v>
      </c>
      <c r="D8" s="10">
        <v>34500</v>
      </c>
      <c r="E8" s="10">
        <v>150000</v>
      </c>
      <c r="F8" s="7">
        <v>0.45</v>
      </c>
      <c r="G8" s="14">
        <f t="shared" si="2"/>
        <v>6900</v>
      </c>
      <c r="H8" s="14">
        <f t="shared" si="3"/>
        <v>53100</v>
      </c>
      <c r="I8" s="14">
        <f>52*162</f>
        <v>8424</v>
      </c>
      <c r="J8" s="14">
        <f>892*52</f>
        <v>46384</v>
      </c>
      <c r="K8" s="49">
        <v>0</v>
      </c>
      <c r="L8" s="47"/>
    </row>
    <row r="9" spans="1:12">
      <c r="B9" s="11" t="s">
        <v>34</v>
      </c>
      <c r="C9" s="10">
        <v>11500</v>
      </c>
      <c r="D9" s="10">
        <v>33500</v>
      </c>
      <c r="E9" s="10">
        <v>150000</v>
      </c>
      <c r="F9" s="7">
        <v>0.45</v>
      </c>
      <c r="G9" s="14">
        <f t="shared" si="2"/>
        <v>6700</v>
      </c>
      <c r="H9" s="14">
        <f t="shared" si="3"/>
        <v>53300</v>
      </c>
      <c r="I9" s="14">
        <f>52*157</f>
        <v>8164</v>
      </c>
      <c r="J9" s="14">
        <f>866*52</f>
        <v>45032</v>
      </c>
      <c r="K9" s="49">
        <v>0</v>
      </c>
      <c r="L9" s="47"/>
    </row>
    <row r="10" spans="1:12">
      <c r="B10" s="11" t="s">
        <v>32</v>
      </c>
      <c r="C10" s="10">
        <v>11000</v>
      </c>
      <c r="D10" s="10">
        <v>32000</v>
      </c>
      <c r="E10" s="10">
        <v>150000</v>
      </c>
      <c r="F10" s="7">
        <v>0.45</v>
      </c>
      <c r="G10" s="14">
        <f t="shared" si="2"/>
        <v>6400</v>
      </c>
      <c r="H10" s="14">
        <f t="shared" si="3"/>
        <v>53600</v>
      </c>
      <c r="I10" s="14">
        <f>52*155</f>
        <v>8060</v>
      </c>
      <c r="J10" s="14">
        <f>827*52</f>
        <v>43004</v>
      </c>
      <c r="K10" s="49">
        <v>0</v>
      </c>
    </row>
    <row r="11" spans="1:12">
      <c r="B11" s="11" t="s">
        <v>31</v>
      </c>
      <c r="C11" s="10">
        <v>10600</v>
      </c>
      <c r="D11" s="10">
        <v>31785</v>
      </c>
      <c r="E11" s="10">
        <v>150000</v>
      </c>
      <c r="F11" s="7">
        <v>0.45</v>
      </c>
      <c r="G11" s="14">
        <f t="shared" si="2"/>
        <v>6357</v>
      </c>
      <c r="H11" s="14">
        <f t="shared" si="3"/>
        <v>53643</v>
      </c>
      <c r="I11" s="14">
        <f>52*155</f>
        <v>8060</v>
      </c>
      <c r="J11" s="14">
        <f>815*52</f>
        <v>42380</v>
      </c>
      <c r="K11" s="49">
        <v>0</v>
      </c>
    </row>
    <row r="12" spans="1:12">
      <c r="B12" s="11" t="s">
        <v>22</v>
      </c>
      <c r="C12" s="10">
        <v>10000</v>
      </c>
      <c r="D12" s="10">
        <v>31865</v>
      </c>
      <c r="E12" s="10">
        <v>150000</v>
      </c>
      <c r="F12" s="7">
        <v>0.45</v>
      </c>
      <c r="G12" s="14">
        <f t="shared" si="2"/>
        <v>6373</v>
      </c>
      <c r="H12" s="14">
        <f t="shared" si="3"/>
        <v>53627</v>
      </c>
      <c r="I12" s="14">
        <f>52*153</f>
        <v>7956</v>
      </c>
      <c r="J12" s="14">
        <v>41865</v>
      </c>
      <c r="K12" s="49">
        <v>0</v>
      </c>
    </row>
    <row r="13" spans="1:12">
      <c r="B13" s="11" t="s">
        <v>21</v>
      </c>
      <c r="C13" s="10">
        <v>9440</v>
      </c>
      <c r="D13" s="10">
        <v>32010</v>
      </c>
      <c r="E13" s="10">
        <v>150000</v>
      </c>
      <c r="F13" s="7">
        <v>0.45</v>
      </c>
      <c r="G13" s="14">
        <f t="shared" si="2"/>
        <v>6402</v>
      </c>
      <c r="H13" s="14">
        <f t="shared" si="3"/>
        <v>53598</v>
      </c>
      <c r="I13" s="14">
        <v>7755</v>
      </c>
      <c r="J13" s="14">
        <v>40040</v>
      </c>
      <c r="K13" s="49">
        <v>0</v>
      </c>
    </row>
    <row r="14" spans="1:12">
      <c r="B14" s="11" t="s">
        <v>20</v>
      </c>
      <c r="C14" s="10">
        <v>8105</v>
      </c>
      <c r="D14" s="10">
        <f>34370</f>
        <v>34370</v>
      </c>
      <c r="E14" s="10">
        <v>150000</v>
      </c>
      <c r="F14" s="7">
        <v>0.5</v>
      </c>
      <c r="G14" s="14">
        <f t="shared" si="2"/>
        <v>6874</v>
      </c>
      <c r="H14" s="14">
        <f t="shared" si="3"/>
        <v>53126</v>
      </c>
      <c r="I14" s="14">
        <v>7605</v>
      </c>
      <c r="J14" s="14">
        <v>40040</v>
      </c>
      <c r="K14" s="49">
        <v>0</v>
      </c>
    </row>
    <row r="15" spans="1:12">
      <c r="B15" s="11" t="s">
        <v>19</v>
      </c>
      <c r="C15" s="10">
        <v>7475</v>
      </c>
      <c r="D15" s="10">
        <v>35000</v>
      </c>
      <c r="E15" s="10">
        <v>150000</v>
      </c>
      <c r="F15" s="7">
        <v>0.5</v>
      </c>
      <c r="G15" s="14">
        <f t="shared" si="2"/>
        <v>7000</v>
      </c>
      <c r="H15" s="14">
        <f t="shared" si="3"/>
        <v>53000</v>
      </c>
      <c r="I15" s="14">
        <v>6500</v>
      </c>
      <c r="J15" s="14">
        <v>40040</v>
      </c>
      <c r="K15" s="49">
        <v>0</v>
      </c>
    </row>
    <row r="16" spans="1:12">
      <c r="B16" s="11" t="s">
        <v>18</v>
      </c>
      <c r="C16" s="10">
        <v>6475</v>
      </c>
      <c r="D16" s="10">
        <v>37400</v>
      </c>
      <c r="E16" s="10">
        <v>150000</v>
      </c>
      <c r="F16" s="7">
        <v>0.5</v>
      </c>
      <c r="G16" s="14">
        <f t="shared" si="2"/>
        <v>7480</v>
      </c>
      <c r="H16" s="14">
        <f t="shared" si="3"/>
        <v>52520</v>
      </c>
      <c r="I16" s="14">
        <v>5715</v>
      </c>
      <c r="J16" s="14">
        <v>40040</v>
      </c>
      <c r="K16" s="49">
        <v>0</v>
      </c>
    </row>
    <row r="17" spans="2:11">
      <c r="B17" s="12" t="s">
        <v>26</v>
      </c>
      <c r="C17" s="10">
        <v>6475</v>
      </c>
      <c r="D17" s="10">
        <v>37400</v>
      </c>
      <c r="E17" s="10">
        <v>150000</v>
      </c>
      <c r="F17" s="7">
        <v>0.4</v>
      </c>
      <c r="G17" s="14">
        <f t="shared" si="2"/>
        <v>7480</v>
      </c>
      <c r="H17" s="14">
        <f t="shared" si="3"/>
        <v>52520</v>
      </c>
      <c r="I17" s="14">
        <v>5500</v>
      </c>
      <c r="J17" s="14">
        <v>40040</v>
      </c>
      <c r="K17" s="49">
        <v>0</v>
      </c>
    </row>
    <row r="19" spans="2:11" s="19" customFormat="1">
      <c r="B19" s="21">
        <v>9</v>
      </c>
      <c r="C19" s="22">
        <v>4</v>
      </c>
    </row>
    <row r="20" spans="2:11">
      <c r="B20" s="20" t="s">
        <v>30</v>
      </c>
      <c r="C20" s="20" t="s">
        <v>25</v>
      </c>
    </row>
    <row r="21" spans="2:11">
      <c r="B21" s="8">
        <v>4</v>
      </c>
      <c r="C21" s="8" t="str">
        <f t="array" ref="C21:C25">TRANSPOSE(Calculator!D8:H8)</f>
        <v>Yearly</v>
      </c>
    </row>
    <row r="22" spans="2:11">
      <c r="B22" s="8">
        <v>4.5</v>
      </c>
      <c r="C22" s="8" t="str">
        <v>Monthly</v>
      </c>
    </row>
    <row r="23" spans="2:11">
      <c r="B23" s="8">
        <v>5</v>
      </c>
      <c r="C23" s="8" t="str">
        <v>Weekly</v>
      </c>
    </row>
    <row r="24" spans="2:11">
      <c r="B24" s="8">
        <v>5.5</v>
      </c>
      <c r="C24" s="8" t="str">
        <v>Daily</v>
      </c>
    </row>
    <row r="25" spans="2:11" ht="13.5" thickBot="1">
      <c r="B25" s="8">
        <v>6</v>
      </c>
      <c r="C25" s="9" t="str">
        <v>Hourly</v>
      </c>
    </row>
    <row r="26" spans="2:11">
      <c r="B26" s="8">
        <v>6.5</v>
      </c>
    </row>
    <row r="27" spans="2:11">
      <c r="B27" s="8">
        <v>7</v>
      </c>
    </row>
    <row r="28" spans="2:11">
      <c r="B28" s="8">
        <v>7.5</v>
      </c>
    </row>
    <row r="29" spans="2:11">
      <c r="B29" s="8">
        <v>8</v>
      </c>
    </row>
    <row r="30" spans="2:11">
      <c r="B30" s="8">
        <v>8.5</v>
      </c>
    </row>
    <row r="31" spans="2:11" ht="13.5" thickBot="1">
      <c r="B31" s="9">
        <v>9</v>
      </c>
    </row>
  </sheetData>
  <sortState xmlns:xlrd2="http://schemas.microsoft.com/office/spreadsheetml/2017/richdata2" ref="B4:J16">
    <sortCondition descending="1" ref="B4:B16"/>
  </sortState>
  <phoneticPr fontId="2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16</vt:i4>
      </vt:variant>
    </vt:vector>
  </HeadingPairs>
  <TitlesOfParts>
    <vt:vector size="18" baseType="lpstr">
      <vt:lpstr>Calculator</vt:lpstr>
      <vt:lpstr>SET</vt:lpstr>
      <vt:lpstr>Deductions_ENG</vt:lpstr>
      <vt:lpstr>extraNic</vt:lpstr>
      <vt:lpstr>Full_Table</vt:lpstr>
      <vt:lpstr>hours</vt:lpstr>
      <vt:lpstr>hours_list</vt:lpstr>
      <vt:lpstr>hours_rng</vt:lpstr>
      <vt:lpstr>NIC</vt:lpstr>
      <vt:lpstr>PA_ENG</vt:lpstr>
      <vt:lpstr>period</vt:lpstr>
      <vt:lpstr>Rest_of_the_table</vt:lpstr>
      <vt:lpstr>Calculator!salary_ENG</vt:lpstr>
      <vt:lpstr>selected_year</vt:lpstr>
      <vt:lpstr>table_part</vt:lpstr>
      <vt:lpstr>tax</vt:lpstr>
      <vt:lpstr>taxable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Cetnarski</dc:creator>
  <cp:lastModifiedBy>Jacek Cetnarski</cp:lastModifiedBy>
  <cp:lastPrinted>2013-01-07T12:42:35Z</cp:lastPrinted>
  <dcterms:created xsi:type="dcterms:W3CDTF">2013-01-04T08:43:45Z</dcterms:created>
  <dcterms:modified xsi:type="dcterms:W3CDTF">2023-03-16T16:01:25Z</dcterms:modified>
</cp:coreProperties>
</file>